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tchnoc-my.sharepoint.com/personal/vbarnett_fitchgroup_co/Documents/upload to website/"/>
    </mc:Choice>
  </mc:AlternateContent>
  <xr:revisionPtr revIDLastSave="0" documentId="8_{105E93DE-C19B-4924-87A2-32418B700E5E}" xr6:coauthVersionLast="47" xr6:coauthVersionMax="47" xr10:uidLastSave="{00000000-0000-0000-0000-000000000000}"/>
  <bookViews>
    <workbookView xWindow="-120" yWindow="-120" windowWidth="29040" windowHeight="17520" activeTab="2" xr2:uid="{2517CE32-83FB-4FA8-BC7E-EEF8E8663E5B}"/>
  </bookViews>
  <sheets>
    <sheet name="10 year maturity" sheetId="1" r:id="rId1"/>
    <sheet name="Dynamic maturity" sheetId="3" r:id="rId2"/>
    <sheet name="Validation input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C3" i="1"/>
  <c r="C3" i="3"/>
  <c r="B2" i="1"/>
  <c r="A2" i="1"/>
  <c r="B2" i="3"/>
  <c r="A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2" i="2"/>
  <c r="B56" i="1"/>
  <c r="B62" i="1"/>
  <c r="B46" i="1"/>
  <c r="B7" i="3"/>
  <c r="B7" i="1"/>
  <c r="F32" i="1"/>
  <c r="B45" i="1"/>
  <c r="A53" i="1"/>
  <c r="A4" i="1"/>
  <c r="A6" i="1"/>
  <c r="A30" i="1"/>
  <c r="A3" i="1"/>
  <c r="A13" i="1"/>
  <c r="A1" i="1"/>
  <c r="A8" i="1"/>
  <c r="A72" i="3"/>
  <c r="A4" i="3"/>
  <c r="A6" i="3"/>
  <c r="A33" i="3"/>
  <c r="A3" i="3"/>
  <c r="A13" i="3"/>
  <c r="A1" i="3"/>
  <c r="A8" i="3"/>
  <c r="D61" i="3"/>
  <c r="E61" i="3" s="1"/>
  <c r="C61" i="3"/>
  <c r="B61" i="3"/>
  <c r="A27" i="3"/>
  <c r="B75" i="3"/>
  <c r="B81" i="3" s="1"/>
  <c r="F35" i="3"/>
  <c r="B64" i="3"/>
  <c r="B30" i="3"/>
  <c r="A29" i="3"/>
  <c r="B19" i="3" a="1"/>
  <c r="A75" i="3"/>
  <c r="B78" i="3"/>
  <c r="A74" i="3"/>
  <c r="B77" i="3"/>
  <c r="B65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" i="2"/>
  <c r="A56" i="1"/>
  <c r="B59" i="1"/>
  <c r="A55" i="1"/>
  <c r="B58" i="1"/>
  <c r="B25" i="1"/>
  <c r="D33" i="1"/>
  <c r="K24" i="1"/>
  <c r="C24" i="1"/>
  <c r="D24" i="1"/>
  <c r="E24" i="1"/>
  <c r="F24" i="1"/>
  <c r="G24" i="1"/>
  <c r="H24" i="1"/>
  <c r="I24" i="1"/>
  <c r="J24" i="1"/>
  <c r="B24" i="1"/>
  <c r="C22" i="1"/>
  <c r="D22" i="1"/>
  <c r="E22" i="1"/>
  <c r="F22" i="1"/>
  <c r="G22" i="1"/>
  <c r="H22" i="1"/>
  <c r="I22" i="1"/>
  <c r="J22" i="1"/>
  <c r="K22" i="1"/>
  <c r="K21" i="1"/>
  <c r="C21" i="1"/>
  <c r="D21" i="1"/>
  <c r="E21" i="1"/>
  <c r="F21" i="1"/>
  <c r="G21" i="1"/>
  <c r="H21" i="1"/>
  <c r="I21" i="1"/>
  <c r="J21" i="1"/>
  <c r="B21" i="1"/>
  <c r="C19" i="1"/>
  <c r="C25" i="1"/>
  <c r="D34" i="1"/>
  <c r="D19" i="1"/>
  <c r="C33" i="1" a="1"/>
  <c r="E34" i="1"/>
  <c r="B27" i="1"/>
  <c r="C27" i="1"/>
  <c r="E19" i="1"/>
  <c r="D25" i="1"/>
  <c r="C33" i="1"/>
  <c r="E33" i="1"/>
  <c r="D35" i="1"/>
  <c r="E35" i="1"/>
  <c r="D27" i="1"/>
  <c r="F19" i="1"/>
  <c r="E25" i="1"/>
  <c r="D36" i="1"/>
  <c r="E36" i="1"/>
  <c r="E27" i="1"/>
  <c r="G19" i="1"/>
  <c r="F25" i="1"/>
  <c r="D37" i="1"/>
  <c r="E37" i="1"/>
  <c r="F27" i="1"/>
  <c r="H19" i="1"/>
  <c r="G25" i="1"/>
  <c r="D38" i="1"/>
  <c r="E38" i="1"/>
  <c r="G27" i="1"/>
  <c r="I19" i="1"/>
  <c r="H25" i="1"/>
  <c r="D39" i="1"/>
  <c r="E39" i="1"/>
  <c r="H27" i="1"/>
  <c r="J19" i="1"/>
  <c r="I25" i="1"/>
  <c r="D40" i="1"/>
  <c r="E40" i="1"/>
  <c r="I27" i="1"/>
  <c r="K19" i="1"/>
  <c r="K25" i="1"/>
  <c r="J25" i="1"/>
  <c r="B33" i="1" a="1"/>
  <c r="F39" i="1"/>
  <c r="D42" i="1"/>
  <c r="E42" i="1"/>
  <c r="K27" i="1"/>
  <c r="D41" i="1"/>
  <c r="E41" i="1"/>
  <c r="J27" i="1"/>
  <c r="F42" i="1"/>
  <c r="B33" i="1"/>
  <c r="F33" i="1"/>
  <c r="F40" i="1"/>
  <c r="F41" i="1"/>
  <c r="F38" i="1"/>
  <c r="F37" i="1"/>
  <c r="F36" i="1"/>
  <c r="F35" i="1"/>
  <c r="F34" i="1"/>
  <c r="E43" i="1"/>
  <c r="B49" i="1"/>
  <c r="B28" i="1"/>
  <c r="B1" i="1"/>
  <c r="B8" i="1"/>
  <c r="F43" i="1"/>
  <c r="B48" i="1"/>
  <c r="B51" i="1"/>
  <c r="B55" i="1"/>
  <c r="B61" i="1"/>
  <c r="B64" i="1"/>
  <c r="B3" i="1"/>
  <c r="B4" i="1"/>
  <c r="B6" i="1"/>
  <c r="B11" i="1"/>
  <c r="T21" i="3" l="1"/>
  <c r="Q22" i="3"/>
  <c r="Y25" i="3"/>
  <c r="R24" i="3"/>
  <c r="V22" i="3"/>
  <c r="Q24" i="3"/>
  <c r="X25" i="3"/>
  <c r="X24" i="3"/>
  <c r="X27" i="3" s="1"/>
  <c r="X22" i="3"/>
  <c r="U22" i="3"/>
  <c r="X21" i="3"/>
  <c r="W25" i="3"/>
  <c r="S22" i="3"/>
  <c r="S24" i="3"/>
  <c r="R22" i="3"/>
  <c r="W24" i="3"/>
  <c r="Q21" i="3"/>
  <c r="U21" i="3"/>
  <c r="R21" i="3"/>
  <c r="T22" i="3"/>
  <c r="U25" i="3"/>
  <c r="Y21" i="3"/>
  <c r="W21" i="3"/>
  <c r="V24" i="3"/>
  <c r="V27" i="3" s="1"/>
  <c r="V21" i="3"/>
  <c r="R25" i="3"/>
  <c r="S21" i="3"/>
  <c r="Z22" i="3"/>
  <c r="Q25" i="3"/>
  <c r="Q27" i="3" s="1"/>
  <c r="U24" i="3"/>
  <c r="V25" i="3"/>
  <c r="Y22" i="3"/>
  <c r="Y24" i="3"/>
  <c r="Y27" i="3" s="1"/>
  <c r="T25" i="3"/>
  <c r="Z25" i="3"/>
  <c r="S25" i="3"/>
  <c r="Z24" i="3"/>
  <c r="W22" i="3"/>
  <c r="T24" i="3"/>
  <c r="Z21" i="3"/>
  <c r="Z27" i="3"/>
  <c r="P25" i="3"/>
  <c r="P21" i="3"/>
  <c r="P22" i="3"/>
  <c r="P24" i="3"/>
  <c r="O25" i="3"/>
  <c r="M21" i="3"/>
  <c r="N24" i="3"/>
  <c r="O21" i="3"/>
  <c r="N21" i="3"/>
  <c r="O24" i="3"/>
  <c r="O22" i="3"/>
  <c r="N25" i="3"/>
  <c r="N22" i="3"/>
  <c r="M22" i="3"/>
  <c r="M24" i="3"/>
  <c r="M25" i="3"/>
  <c r="L24" i="3"/>
  <c r="L25" i="3"/>
  <c r="L22" i="3"/>
  <c r="L21" i="3"/>
  <c r="J22" i="3"/>
  <c r="K24" i="3"/>
  <c r="K22" i="3"/>
  <c r="K25" i="3"/>
  <c r="K21" i="3"/>
  <c r="J21" i="3"/>
  <c r="J24" i="3"/>
  <c r="J25" i="3"/>
  <c r="I21" i="3"/>
  <c r="I25" i="3"/>
  <c r="I24" i="3"/>
  <c r="I22" i="3"/>
  <c r="H25" i="3"/>
  <c r="H21" i="3"/>
  <c r="H22" i="3"/>
  <c r="H24" i="3"/>
  <c r="F61" i="3"/>
  <c r="F22" i="3"/>
  <c r="C24" i="3"/>
  <c r="F24" i="3"/>
  <c r="G22" i="3"/>
  <c r="G25" i="3"/>
  <c r="E24" i="3"/>
  <c r="D22" i="3"/>
  <c r="C22" i="3"/>
  <c r="C25" i="3"/>
  <c r="B19" i="3"/>
  <c r="D25" i="3"/>
  <c r="E21" i="3"/>
  <c r="E25" i="3"/>
  <c r="D21" i="3"/>
  <c r="F21" i="3"/>
  <c r="D24" i="3"/>
  <c r="G21" i="3"/>
  <c r="E22" i="3"/>
  <c r="C21" i="3"/>
  <c r="F25" i="3"/>
  <c r="G24" i="3"/>
  <c r="P27" i="3" l="1"/>
  <c r="R27" i="3"/>
  <c r="W27" i="3"/>
  <c r="S27" i="3"/>
  <c r="U27" i="3"/>
  <c r="T27" i="3"/>
  <c r="O27" i="3"/>
  <c r="N27" i="3"/>
  <c r="M27" i="3"/>
  <c r="L27" i="3"/>
  <c r="J27" i="3"/>
  <c r="K27" i="3"/>
  <c r="E27" i="3"/>
  <c r="F27" i="3"/>
  <c r="I27" i="3"/>
  <c r="G27" i="3"/>
  <c r="H27" i="3"/>
  <c r="C27" i="3"/>
  <c r="D27" i="3"/>
  <c r="B22" i="3"/>
  <c r="B24" i="3"/>
  <c r="C36" i="3" s="1" a="1"/>
  <c r="B36" i="3" a="1"/>
  <c r="B25" i="3"/>
  <c r="D36" i="3" s="1" a="1"/>
  <c r="D36" i="3" s="1"/>
  <c r="B21" i="3"/>
  <c r="E41" i="3" l="1"/>
  <c r="F41" i="3" s="1"/>
  <c r="E46" i="3"/>
  <c r="F46" i="3" s="1"/>
  <c r="E44" i="3"/>
  <c r="F44" i="3" s="1"/>
  <c r="E38" i="3"/>
  <c r="F38" i="3" s="1"/>
  <c r="E55" i="3"/>
  <c r="F55" i="3" s="1"/>
  <c r="E60" i="3"/>
  <c r="F60" i="3" s="1"/>
  <c r="E58" i="3"/>
  <c r="F58" i="3" s="1"/>
  <c r="E39" i="3"/>
  <c r="F39" i="3" s="1"/>
  <c r="E43" i="3"/>
  <c r="F43" i="3" s="1"/>
  <c r="E51" i="3"/>
  <c r="F51" i="3" s="1"/>
  <c r="E57" i="3"/>
  <c r="F57" i="3" s="1"/>
  <c r="E40" i="3"/>
  <c r="F40" i="3" s="1"/>
  <c r="E50" i="3"/>
  <c r="F50" i="3" s="1"/>
  <c r="E52" i="3"/>
  <c r="F52" i="3" s="1"/>
  <c r="E56" i="3"/>
  <c r="F56" i="3" s="1"/>
  <c r="E48" i="3"/>
  <c r="F48" i="3" s="1"/>
  <c r="E49" i="3"/>
  <c r="F49" i="3" s="1"/>
  <c r="E42" i="3"/>
  <c r="F42" i="3" s="1"/>
  <c r="E53" i="3"/>
  <c r="F53" i="3" s="1"/>
  <c r="E47" i="3"/>
  <c r="F47" i="3" s="1"/>
  <c r="C36" i="3"/>
  <c r="E36" i="3" s="1"/>
  <c r="E45" i="3"/>
  <c r="F45" i="3" s="1"/>
  <c r="E54" i="3"/>
  <c r="F54" i="3" s="1"/>
  <c r="E59" i="3"/>
  <c r="F59" i="3" s="1"/>
  <c r="E37" i="3"/>
  <c r="F37" i="3" s="1"/>
  <c r="B27" i="3"/>
  <c r="B29" i="3" s="1"/>
  <c r="B31" i="3" s="1"/>
  <c r="B1" i="3" s="1"/>
  <c r="B8" i="3" s="1"/>
  <c r="B36" i="3"/>
  <c r="F36" i="3" l="1"/>
  <c r="F62" i="3" s="1"/>
  <c r="B67" i="3" s="1"/>
  <c r="E62" i="3"/>
  <c r="B68" i="3" s="1"/>
  <c r="B70" i="3" l="1"/>
  <c r="B3" i="3" l="1"/>
  <c r="F3" i="3" s="1"/>
  <c r="B74" i="3"/>
  <c r="B80" i="3" s="1"/>
  <c r="B83" i="3" s="1"/>
  <c r="B4" i="3" s="1"/>
  <c r="B6" i="3" s="1"/>
  <c r="B11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<sst xmlns="http://schemas.openxmlformats.org/spreadsheetml/2006/main" count="29" uniqueCount="16">
  <si>
    <t>Coupon</t>
  </si>
  <si>
    <t>Yield</t>
  </si>
  <si>
    <t>(1 + r)^n</t>
  </si>
  <si>
    <t>Time</t>
  </si>
  <si>
    <t>CF</t>
  </si>
  <si>
    <t>DCF</t>
  </si>
  <si>
    <t>PV of CF</t>
  </si>
  <si>
    <t xml:space="preserve">Macaulay Duration = </t>
  </si>
  <si>
    <t>Modified Duration =</t>
  </si>
  <si>
    <t>Maturity</t>
  </si>
  <si>
    <t>PV of Redemption</t>
  </si>
  <si>
    <t>PV of Cashflows</t>
  </si>
  <si>
    <t>Current yield</t>
  </si>
  <si>
    <t>Change in yield</t>
  </si>
  <si>
    <t>New bond price</t>
  </si>
  <si>
    <t>Fair Value of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</si>
</sst>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T&quot;General"/>
    <numFmt numFmtId="165" formatCode="General&quot;yrs&quot;"/>
    <numFmt numFmtId="166" formatCode="0.00&quot;%&quot;"/>
    <numFmt numFmtId="167" formatCode="0.00&quot;yrs&quot;"/>
    <numFmt numFmtId="168" formatCode="[$$-409]#,##0.00"/>
    <numFmt numFmtId="169" formatCode="0&quot;yrs&quot;"/>
  </numFmts>
  <fonts count="4" x14ac:knownFonts="1">
    <font>
      <sz val="36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sz val="36"/>
      <color theme="1"/>
      <name val="Mulish"/>
    </font>
    <font>
      <b/>
      <sz val="36"/>
      <color theme="1"/>
      <name val="Mulish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B4E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9" fontId="2" fillId="0" borderId="0" xfId="1" applyFont="1"/>
    <xf numFmtId="0" fontId="2" fillId="0" borderId="0" xfId="0" applyFont="1"/>
    <xf numFmtId="0" fontId="2" fillId="0" borderId="0" xfId="0" applyFont="1" applyAlignment="1">
      <alignment horizontal="left"/>
    </xf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1" applyFont="1" applyAlignment="1">
      <alignment horizontal="left"/>
    </xf>
    <xf numFmtId="1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9" fontId="2" fillId="2" borderId="0" xfId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168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5" fontId="2" fillId="0" borderId="0" xfId="0" applyNumberFormat="1" applyFont="1"/>
    <xf numFmtId="9" fontId="2" fillId="0" borderId="0" xfId="0" applyNumberFormat="1" applyFont="1" applyAlignment="1">
      <alignment horizontal="center"/>
    </xf>
    <xf numFmtId="9" fontId="2" fillId="0" borderId="0" xfId="0" applyNumberFormat="1" applyFont="1"/>
    <xf numFmtId="0" fontId="2" fillId="0" borderId="1" xfId="0" applyFont="1" applyBorder="1"/>
    <xf numFmtId="167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2" fillId="0" borderId="0" xfId="1" applyNumberFormat="1" applyFont="1"/>
    <xf numFmtId="164" fontId="2" fillId="0" borderId="0" xfId="0" applyNumberFormat="1" applyFont="1"/>
    <xf numFmtId="168" fontId="3" fillId="0" borderId="0" xfId="0" applyNumberFormat="1" applyFont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2B4E7"/>
      <color rgb="FF0071CE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1619249</xdr:colOff>
      <xdr:row>0</xdr:row>
      <xdr:rowOff>0</xdr:rowOff>
    </xdr:from>
    <xdr:to>
      <xdr:col>10</xdr:col>
      <xdr:colOff>3498644</xdr:colOff>
      <xdr:row>3</xdr:row>
      <xdr:rowOff>349250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32E716-2A2C-DCD1-E3A3-13E3BC64E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499" y="0"/>
          <a:ext cx="5911645" cy="234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571500</xdr:rowOff>
    </xdr:from>
    <xdr:to>
      <xdr:col>10</xdr:col>
      <xdr:colOff>2958895</xdr:colOff>
      <xdr:row>4</xdr:row>
      <xdr:rowOff>254000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92761A-5254-4F04-869E-AD0DC4D8F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2500" y="571500"/>
          <a:ext cx="5911645" cy="2349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0</xdr:row>
      <xdr:rowOff>127000</xdr:rowOff>
    </xdr:from>
    <xdr:to>
      <xdr:col>11</xdr:col>
      <xdr:colOff>101395</xdr:colOff>
      <xdr:row>3</xdr:row>
      <xdr:rowOff>476250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353D2F-F07D-4551-9556-21E595C33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3250" y="127000"/>
          <a:ext cx="5911645" cy="234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9CAB-3AE3-4FBC-9C8F-6D2877014767}">
  <dimension ref="A1:L64"/>
  <sheetViews>
    <sheetView topLeftCell="A37" zoomScale="30" zoomScaleNormal="30" workbookViewId="0">
      <selection activeCell="I7" sqref="I7"/>
    </sheetView>
  </sheetViews>
  <sheetFormatPr defaultRowHeight="51.75" x14ac:dyDescent="0.9"/>
  <cols>
    <col min="1" max="26" width="17.625" style="2" bestFit="1" customWidth="1"/>
    <col min="27" max="16384" width="8.6640625" style="2"/>
  </cols>
  <sheetData>
    <row r="1" spans="1:6" x14ac:dyDescent="0.9">
      <c r="A1" s="3" t="str">
        <f>A13</f>
        <v>Fair Value of Bond</v>
      </c>
      <c r="B1" s="4">
        <f>B28</f>
        <v>99.999999999999943</v>
      </c>
    </row>
    <row r="2" spans="1:6" x14ac:dyDescent="0.9">
      <c r="A2" s="3" t="str">
        <f>A17</f>
        <v>Maturity</v>
      </c>
      <c r="B2" s="5">
        <f>B17</f>
        <v>10</v>
      </c>
    </row>
    <row r="3" spans="1:6" x14ac:dyDescent="0.9">
      <c r="A3" s="3" t="str">
        <f>A30</f>
        <v>Macaulay Duration</v>
      </c>
      <c r="B3" s="6">
        <f>B51</f>
        <v>6.7590238162751497</v>
      </c>
      <c r="C3" s="7" t="str">
        <f>A3&amp;" as a percentage of "&amp;A2</f>
        <v>Macaulay Duration as a percentage of Maturity</v>
      </c>
      <c r="D3" s="7"/>
      <c r="E3" s="7"/>
      <c r="F3" s="8">
        <f>B3/B2</f>
        <v>0.67590238162751493</v>
      </c>
    </row>
    <row r="4" spans="1:6" x14ac:dyDescent="0.9">
      <c r="A4" s="3" t="str">
        <f>A53</f>
        <v>Modified Duration</v>
      </c>
      <c r="B4" s="9">
        <f>B64/100</f>
        <v>6.1445671057046812E-2</v>
      </c>
    </row>
    <row r="5" spans="1:6" x14ac:dyDescent="0.9">
      <c r="A5" s="3"/>
      <c r="B5" s="10"/>
    </row>
    <row r="6" spans="1:6" x14ac:dyDescent="0.9">
      <c r="A6" s="3" t="str">
        <f>A4</f>
        <v>Modified Duration</v>
      </c>
      <c r="B6" s="9">
        <f>B4</f>
        <v>6.1445671057046812E-2</v>
      </c>
    </row>
    <row r="7" spans="1:6" x14ac:dyDescent="0.9">
      <c r="A7" s="3" t="s">
        <v>12</v>
      </c>
      <c r="B7" s="11">
        <f>B16</f>
        <v>0.1</v>
      </c>
    </row>
    <row r="8" spans="1:6" x14ac:dyDescent="0.9">
      <c r="A8" s="2" t="str">
        <f>A1</f>
        <v>Fair Value of Bond</v>
      </c>
      <c r="B8" s="4">
        <f>B1</f>
        <v>99.999999999999943</v>
      </c>
    </row>
    <row r="9" spans="1:6" x14ac:dyDescent="0.9">
      <c r="B9" s="4"/>
    </row>
    <row r="10" spans="1:6" x14ac:dyDescent="0.9">
      <c r="A10" s="2" t="s">
        <v>13</v>
      </c>
      <c r="B10" s="12">
        <v>0</v>
      </c>
    </row>
    <row r="11" spans="1:6" x14ac:dyDescent="0.9">
      <c r="A11" s="3" t="s">
        <v>14</v>
      </c>
      <c r="B11" s="4">
        <f>B8*(1-(B6*B10))</f>
        <v>99.999999999999943</v>
      </c>
    </row>
    <row r="12" spans="1:6" x14ac:dyDescent="0.9">
      <c r="A12" s="3"/>
      <c r="B12" s="10"/>
    </row>
    <row r="13" spans="1:6" s="39" customFormat="1" x14ac:dyDescent="0.9">
      <c r="A13" s="38" t="str">
        <f>A28</f>
        <v>Fair Value of Bond</v>
      </c>
    </row>
    <row r="14" spans="1:6" s="39" customFormat="1" x14ac:dyDescent="0.9"/>
    <row r="15" spans="1:6" x14ac:dyDescent="0.9">
      <c r="A15" s="2" t="s">
        <v>0</v>
      </c>
      <c r="B15" s="13">
        <v>10</v>
      </c>
      <c r="C15" s="17"/>
    </row>
    <row r="16" spans="1:6" x14ac:dyDescent="0.9">
      <c r="A16" s="2" t="s">
        <v>1</v>
      </c>
      <c r="B16" s="14">
        <v>0.1</v>
      </c>
      <c r="C16" s="17"/>
    </row>
    <row r="17" spans="1:12" x14ac:dyDescent="0.9">
      <c r="A17" s="2" t="s">
        <v>9</v>
      </c>
      <c r="B17" s="15">
        <v>10</v>
      </c>
      <c r="C17" s="17"/>
    </row>
    <row r="19" spans="1:12" x14ac:dyDescent="0.9">
      <c r="B19" s="16">
        <v>1</v>
      </c>
      <c r="C19" s="16">
        <f>B19+1</f>
        <v>2</v>
      </c>
      <c r="D19" s="16">
        <f t="shared" ref="D19:K19" si="0">C19+1</f>
        <v>3</v>
      </c>
      <c r="E19" s="16">
        <f t="shared" si="0"/>
        <v>4</v>
      </c>
      <c r="F19" s="16">
        <f t="shared" si="0"/>
        <v>5</v>
      </c>
      <c r="G19" s="16">
        <f t="shared" si="0"/>
        <v>6</v>
      </c>
      <c r="H19" s="16">
        <f t="shared" si="0"/>
        <v>7</v>
      </c>
      <c r="I19" s="16">
        <f t="shared" si="0"/>
        <v>8</v>
      </c>
      <c r="J19" s="16">
        <f t="shared" si="0"/>
        <v>9</v>
      </c>
      <c r="K19" s="16">
        <f t="shared" si="0"/>
        <v>10</v>
      </c>
      <c r="L19" s="36"/>
    </row>
    <row r="20" spans="1:12" x14ac:dyDescent="0.9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2" ht="52.5" thickBot="1" x14ac:dyDescent="0.95">
      <c r="B21" s="18" t="str">
        <f>$A$15</f>
        <v>Coupon</v>
      </c>
      <c r="C21" s="18" t="str">
        <f t="shared" ref="C21:J21" si="1">$A$15</f>
        <v>Coupon</v>
      </c>
      <c r="D21" s="18" t="str">
        <f t="shared" si="1"/>
        <v>Coupon</v>
      </c>
      <c r="E21" s="18" t="str">
        <f t="shared" si="1"/>
        <v>Coupon</v>
      </c>
      <c r="F21" s="18" t="str">
        <f t="shared" si="1"/>
        <v>Coupon</v>
      </c>
      <c r="G21" s="18" t="str">
        <f t="shared" si="1"/>
        <v>Coupon</v>
      </c>
      <c r="H21" s="18" t="str">
        <f t="shared" si="1"/>
        <v>Coupon</v>
      </c>
      <c r="I21" s="18" t="str">
        <f t="shared" si="1"/>
        <v>Coupon</v>
      </c>
      <c r="J21" s="18" t="str">
        <f t="shared" si="1"/>
        <v>Coupon</v>
      </c>
      <c r="K21" s="18" t="str">
        <f>$A$15&amp;" + "&amp;"Redemption"</f>
        <v>Coupon + Redemption</v>
      </c>
    </row>
    <row r="22" spans="1:12" x14ac:dyDescent="0.9">
      <c r="B22" s="17" t="s">
        <v>2</v>
      </c>
      <c r="C22" s="17" t="str">
        <f>B22</f>
        <v>(1 + r)^n</v>
      </c>
      <c r="D22" s="17" t="str">
        <f t="shared" ref="D22:K22" si="2">C22</f>
        <v>(1 + r)^n</v>
      </c>
      <c r="E22" s="17" t="str">
        <f t="shared" si="2"/>
        <v>(1 + r)^n</v>
      </c>
      <c r="F22" s="17" t="str">
        <f t="shared" si="2"/>
        <v>(1 + r)^n</v>
      </c>
      <c r="G22" s="17" t="str">
        <f t="shared" si="2"/>
        <v>(1 + r)^n</v>
      </c>
      <c r="H22" s="17" t="str">
        <f t="shared" si="2"/>
        <v>(1 + r)^n</v>
      </c>
      <c r="I22" s="17" t="str">
        <f t="shared" si="2"/>
        <v>(1 + r)^n</v>
      </c>
      <c r="J22" s="17" t="str">
        <f t="shared" si="2"/>
        <v>(1 + r)^n</v>
      </c>
      <c r="K22" s="17" t="str">
        <f t="shared" si="2"/>
        <v>(1 + r)^n</v>
      </c>
    </row>
    <row r="24" spans="1:12" ht="52.5" thickBot="1" x14ac:dyDescent="0.95">
      <c r="B24" s="18">
        <f>$B$15</f>
        <v>10</v>
      </c>
      <c r="C24" s="18">
        <f t="shared" ref="C24:J24" si="3">$B$15</f>
        <v>10</v>
      </c>
      <c r="D24" s="18">
        <f t="shared" si="3"/>
        <v>10</v>
      </c>
      <c r="E24" s="18">
        <f t="shared" si="3"/>
        <v>10</v>
      </c>
      <c r="F24" s="18">
        <f t="shared" si="3"/>
        <v>10</v>
      </c>
      <c r="G24" s="18">
        <f t="shared" si="3"/>
        <v>10</v>
      </c>
      <c r="H24" s="18">
        <f t="shared" si="3"/>
        <v>10</v>
      </c>
      <c r="I24" s="18">
        <f t="shared" si="3"/>
        <v>10</v>
      </c>
      <c r="J24" s="18">
        <f t="shared" si="3"/>
        <v>10</v>
      </c>
      <c r="K24" s="18">
        <f>$B$15+100</f>
        <v>110</v>
      </c>
    </row>
    <row r="25" spans="1:12" x14ac:dyDescent="0.9">
      <c r="B25" s="19">
        <f>(1+$B$16)^B19</f>
        <v>1.1000000000000001</v>
      </c>
      <c r="C25" s="19">
        <f t="shared" ref="C25:K25" si="4">(1+$B$16)^C19</f>
        <v>1.2100000000000002</v>
      </c>
      <c r="D25" s="19">
        <f t="shared" si="4"/>
        <v>1.3310000000000004</v>
      </c>
      <c r="E25" s="19">
        <f t="shared" si="4"/>
        <v>1.4641000000000004</v>
      </c>
      <c r="F25" s="19">
        <f t="shared" si="4"/>
        <v>1.6105100000000006</v>
      </c>
      <c r="G25" s="19">
        <f t="shared" si="4"/>
        <v>1.7715610000000008</v>
      </c>
      <c r="H25" s="19">
        <f t="shared" si="4"/>
        <v>1.9487171000000012</v>
      </c>
      <c r="I25" s="19">
        <f t="shared" si="4"/>
        <v>2.1435888100000011</v>
      </c>
      <c r="J25" s="19">
        <f t="shared" si="4"/>
        <v>2.3579476910000015</v>
      </c>
      <c r="K25" s="19">
        <f t="shared" si="4"/>
        <v>2.5937424601000019</v>
      </c>
    </row>
    <row r="27" spans="1:12" x14ac:dyDescent="0.9">
      <c r="A27" s="2" t="s">
        <v>11</v>
      </c>
      <c r="B27" s="20">
        <f>B24/B25</f>
        <v>9.0909090909090899</v>
      </c>
      <c r="C27" s="20">
        <f t="shared" ref="C27:K27" si="5">C24/C25</f>
        <v>8.2644628099173545</v>
      </c>
      <c r="D27" s="20">
        <f t="shared" si="5"/>
        <v>7.513148009015775</v>
      </c>
      <c r="E27" s="20">
        <f t="shared" si="5"/>
        <v>6.830134553650705</v>
      </c>
      <c r="F27" s="20">
        <f t="shared" si="5"/>
        <v>6.2092132305915495</v>
      </c>
      <c r="G27" s="20">
        <f t="shared" si="5"/>
        <v>5.644739300537772</v>
      </c>
      <c r="H27" s="20">
        <f t="shared" si="5"/>
        <v>5.1315811823070643</v>
      </c>
      <c r="I27" s="20">
        <f t="shared" si="5"/>
        <v>4.6650738020973321</v>
      </c>
      <c r="J27" s="20">
        <f t="shared" si="5"/>
        <v>4.2409761837248467</v>
      </c>
      <c r="K27" s="20">
        <f t="shared" si="5"/>
        <v>42.40976183724846</v>
      </c>
    </row>
    <row r="28" spans="1:12" x14ac:dyDescent="0.9">
      <c r="A28" s="21" t="s">
        <v>15</v>
      </c>
      <c r="B28" s="37">
        <f>SUM(B27:K27)</f>
        <v>99.999999999999943</v>
      </c>
    </row>
    <row r="29" spans="1:12" x14ac:dyDescent="0.9">
      <c r="A29" s="21"/>
      <c r="B29" s="37"/>
    </row>
    <row r="30" spans="1:12" s="39" customFormat="1" x14ac:dyDescent="0.9">
      <c r="A30" s="38" t="str">
        <f>_xlfn.TEXTBEFORE(A45," =")</f>
        <v>Macaulay Duration</v>
      </c>
    </row>
    <row r="31" spans="1:12" s="39" customFormat="1" x14ac:dyDescent="0.9"/>
    <row r="32" spans="1:12" x14ac:dyDescent="0.9">
      <c r="B32" s="23" t="s">
        <v>3</v>
      </c>
      <c r="C32" s="23" t="s">
        <v>4</v>
      </c>
      <c r="D32" s="23" t="s">
        <v>5</v>
      </c>
      <c r="E32" s="23" t="s">
        <v>6</v>
      </c>
      <c r="F32" s="23" t="str">
        <f>E32&amp;" x "&amp;B32</f>
        <v>PV of CF x Time</v>
      </c>
    </row>
    <row r="33" spans="1:6" x14ac:dyDescent="0.9">
      <c r="B33" s="17" cm="1">
        <f t="array" ref="B33:B42">TRANSPOSE(B19:K19)</f>
        <v>1</v>
      </c>
      <c r="C33" s="17" cm="1">
        <f t="array" ref="C33:C42">TRANSPOSE(B24:K24)</f>
        <v>10</v>
      </c>
      <c r="D33" s="20">
        <f>1/B25</f>
        <v>0.90909090909090906</v>
      </c>
      <c r="E33" s="20">
        <f>C33*D33</f>
        <v>9.0909090909090899</v>
      </c>
      <c r="F33" s="20">
        <f>B33*E33</f>
        <v>9.0909090909090899</v>
      </c>
    </row>
    <row r="34" spans="1:6" x14ac:dyDescent="0.9">
      <c r="B34" s="17">
        <v>2</v>
      </c>
      <c r="C34" s="17">
        <v>10</v>
      </c>
      <c r="D34" s="20">
        <f>1/C25</f>
        <v>0.82644628099173545</v>
      </c>
      <c r="E34" s="20">
        <f t="shared" ref="E34:E42" si="6">C34*D34</f>
        <v>8.2644628099173545</v>
      </c>
      <c r="F34" s="20">
        <f t="shared" ref="F34:F42" si="7">B34*E34</f>
        <v>16.528925619834709</v>
      </c>
    </row>
    <row r="35" spans="1:6" x14ac:dyDescent="0.9">
      <c r="B35" s="17">
        <v>3</v>
      </c>
      <c r="C35" s="17">
        <v>10</v>
      </c>
      <c r="D35" s="20">
        <f>1/D25</f>
        <v>0.75131480090157754</v>
      </c>
      <c r="E35" s="20">
        <f t="shared" si="6"/>
        <v>7.5131480090157758</v>
      </c>
      <c r="F35" s="20">
        <f t="shared" si="7"/>
        <v>22.539444027047328</v>
      </c>
    </row>
    <row r="36" spans="1:6" x14ac:dyDescent="0.9">
      <c r="B36" s="17">
        <v>4</v>
      </c>
      <c r="C36" s="17">
        <v>10</v>
      </c>
      <c r="D36" s="20">
        <f>1/E25</f>
        <v>0.68301345536507052</v>
      </c>
      <c r="E36" s="20">
        <f t="shared" si="6"/>
        <v>6.830134553650705</v>
      </c>
      <c r="F36" s="20">
        <f t="shared" si="7"/>
        <v>27.32053821460282</v>
      </c>
    </row>
    <row r="37" spans="1:6" x14ac:dyDescent="0.9">
      <c r="B37" s="17">
        <v>5</v>
      </c>
      <c r="C37" s="17">
        <v>10</v>
      </c>
      <c r="D37" s="20">
        <f>1/F25</f>
        <v>0.62092132305915493</v>
      </c>
      <c r="E37" s="20">
        <f t="shared" si="6"/>
        <v>6.2092132305915495</v>
      </c>
      <c r="F37" s="20">
        <f t="shared" si="7"/>
        <v>31.046066152957749</v>
      </c>
    </row>
    <row r="38" spans="1:6" x14ac:dyDescent="0.9">
      <c r="B38" s="17">
        <v>6</v>
      </c>
      <c r="C38" s="17">
        <v>10</v>
      </c>
      <c r="D38" s="20">
        <f>1/G25</f>
        <v>0.56447393005377722</v>
      </c>
      <c r="E38" s="20">
        <f t="shared" si="6"/>
        <v>5.644739300537772</v>
      </c>
      <c r="F38" s="20">
        <f t="shared" si="7"/>
        <v>33.868435803226632</v>
      </c>
    </row>
    <row r="39" spans="1:6" x14ac:dyDescent="0.9">
      <c r="B39" s="17">
        <v>7</v>
      </c>
      <c r="C39" s="17">
        <v>10</v>
      </c>
      <c r="D39" s="20">
        <f>1/H25</f>
        <v>0.51315811823070645</v>
      </c>
      <c r="E39" s="20">
        <f t="shared" si="6"/>
        <v>5.1315811823070643</v>
      </c>
      <c r="F39" s="20">
        <f t="shared" si="7"/>
        <v>35.921068276149448</v>
      </c>
    </row>
    <row r="40" spans="1:6" x14ac:dyDescent="0.9">
      <c r="B40" s="17">
        <v>8</v>
      </c>
      <c r="C40" s="17">
        <v>10</v>
      </c>
      <c r="D40" s="20">
        <f>1/I25</f>
        <v>0.46650738020973315</v>
      </c>
      <c r="E40" s="20">
        <f t="shared" si="6"/>
        <v>4.6650738020973312</v>
      </c>
      <c r="F40" s="20">
        <f t="shared" si="7"/>
        <v>37.32059041677865</v>
      </c>
    </row>
    <row r="41" spans="1:6" x14ac:dyDescent="0.9">
      <c r="B41" s="17">
        <v>9</v>
      </c>
      <c r="C41" s="17">
        <v>10</v>
      </c>
      <c r="D41" s="20">
        <f>1/J25</f>
        <v>0.42409761837248466</v>
      </c>
      <c r="E41" s="20">
        <f t="shared" si="6"/>
        <v>4.2409761837248467</v>
      </c>
      <c r="F41" s="20">
        <f t="shared" si="7"/>
        <v>38.168785653523621</v>
      </c>
    </row>
    <row r="42" spans="1:6" ht="52.5" thickBot="1" x14ac:dyDescent="0.95">
      <c r="B42" s="17">
        <v>10</v>
      </c>
      <c r="C42" s="17">
        <v>110</v>
      </c>
      <c r="D42" s="20">
        <f>1/K25</f>
        <v>0.38554328942953148</v>
      </c>
      <c r="E42" s="20">
        <f t="shared" si="6"/>
        <v>42.40976183724846</v>
      </c>
      <c r="F42" s="20">
        <f t="shared" si="7"/>
        <v>424.09761837248459</v>
      </c>
    </row>
    <row r="43" spans="1:6" ht="52.5" thickBot="1" x14ac:dyDescent="0.95">
      <c r="E43" s="24">
        <f>SUM(E33:E42)</f>
        <v>99.999999999999943</v>
      </c>
      <c r="F43" s="24">
        <f>SUM(F33:F42)</f>
        <v>675.90238162751461</v>
      </c>
    </row>
    <row r="45" spans="1:6" ht="52.5" thickBot="1" x14ac:dyDescent="0.95">
      <c r="A45" s="2" t="s">
        <v>7</v>
      </c>
      <c r="B45" s="17" t="str">
        <f>"Σ"&amp;F32</f>
        <v>ΣPV of CF x Time</v>
      </c>
    </row>
    <row r="46" spans="1:6" x14ac:dyDescent="0.9">
      <c r="B46" s="26" t="str">
        <f>"Σ"&amp;E32</f>
        <v>ΣPV of CF</v>
      </c>
    </row>
    <row r="48" spans="1:6" ht="52.5" thickBot="1" x14ac:dyDescent="0.95">
      <c r="B48" s="20">
        <f>F43</f>
        <v>675.90238162751461</v>
      </c>
    </row>
    <row r="49" spans="1:3" x14ac:dyDescent="0.9">
      <c r="B49" s="27">
        <f>E43</f>
        <v>99.999999999999943</v>
      </c>
    </row>
    <row r="51" spans="1:3" x14ac:dyDescent="0.9">
      <c r="B51" s="6">
        <f>B48/B49</f>
        <v>6.7590238162751497</v>
      </c>
      <c r="C51" s="6"/>
    </row>
    <row r="52" spans="1:3" x14ac:dyDescent="0.9">
      <c r="B52" s="33"/>
      <c r="C52" s="33"/>
    </row>
    <row r="53" spans="1:3" s="39" customFormat="1" x14ac:dyDescent="0.9">
      <c r="A53" s="38" t="str">
        <f>_xlfn.TEXTBEFORE(A58," =")</f>
        <v>Modified Duration</v>
      </c>
    </row>
    <row r="54" spans="1:3" s="39" customFormat="1" x14ac:dyDescent="0.9"/>
    <row r="55" spans="1:3" x14ac:dyDescent="0.9">
      <c r="A55" s="2" t="str">
        <f>A45</f>
        <v xml:space="preserve">Macaulay Duration = </v>
      </c>
      <c r="B55" s="6">
        <f>B51</f>
        <v>6.7590238162751497</v>
      </c>
      <c r="C55" s="6"/>
    </row>
    <row r="56" spans="1:3" x14ac:dyDescent="0.9">
      <c r="A56" s="2" t="str">
        <f>A16</f>
        <v>Yield</v>
      </c>
      <c r="B56" s="29">
        <f>B16</f>
        <v>0.1</v>
      </c>
      <c r="C56" s="29"/>
    </row>
    <row r="58" spans="1:3" ht="52.5" thickBot="1" x14ac:dyDescent="0.95">
      <c r="A58" s="2" t="s">
        <v>8</v>
      </c>
      <c r="B58" s="31" t="str">
        <f>_xlfn.TEXTBEFORE(A55," =")</f>
        <v>Macaulay Duration</v>
      </c>
    </row>
    <row r="59" spans="1:3" x14ac:dyDescent="0.9">
      <c r="B59" s="17" t="str">
        <f>"1 + "&amp;A56</f>
        <v>1 + Yield</v>
      </c>
    </row>
    <row r="61" spans="1:3" ht="52.5" thickBot="1" x14ac:dyDescent="0.95">
      <c r="B61" s="32">
        <f>B55</f>
        <v>6.7590238162751497</v>
      </c>
    </row>
    <row r="62" spans="1:3" x14ac:dyDescent="0.9">
      <c r="B62" s="20">
        <f>1+B56</f>
        <v>1.1000000000000001</v>
      </c>
    </row>
    <row r="63" spans="1:3" x14ac:dyDescent="0.9">
      <c r="B63" s="17"/>
      <c r="C63" s="17"/>
    </row>
    <row r="64" spans="1:3" x14ac:dyDescent="0.9">
      <c r="B64" s="34">
        <f>B61/B62</f>
        <v>6.1445671057046809</v>
      </c>
      <c r="C64" s="34"/>
    </row>
  </sheetData>
  <mergeCells count="1">
    <mergeCell ref="C3:E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6B3AA5-F2C6-4BE3-8383-215F1C54A895}">
          <x14:formula1>
            <xm:f>'Validation inputs'!$A$1:$A$10</xm:f>
          </x14:formula1>
          <xm:sqref>B16</xm:sqref>
        </x14:dataValidation>
        <x14:dataValidation type="list" allowBlank="1" showInputMessage="1" showErrorMessage="1" xr:uid="{6D4A6109-3202-456B-A611-1641EB83A5F5}">
          <x14:formula1>
            <xm:f>'Validation inputs'!$B$1:$B$16</xm:f>
          </x14:formula1>
          <xm:sqref>B15</xm:sqref>
        </x14:dataValidation>
        <x14:dataValidation type="list" operator="equal" allowBlank="1" showInputMessage="1" showErrorMessage="1" xr:uid="{F41195D3-5E55-46CB-93AF-A783C7AD41E2}">
          <x14:formula1>
            <xm:f>'Validation inputs'!$B$11</xm:f>
          </x14:formula1>
          <xm:sqref>B17</xm:sqref>
        </x14:dataValidation>
        <x14:dataValidation type="list" allowBlank="1" showInputMessage="1" showErrorMessage="1" xr:uid="{84A48EDF-62B1-44EF-B1AC-7A80C90BAB7D}">
          <x14:formula1>
            <xm:f>'Validation inputs'!$D$1:$D$9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90CC-1308-4588-94C2-633A9760EA3B}">
  <dimension ref="A1:Z83"/>
  <sheetViews>
    <sheetView topLeftCell="A61" zoomScale="30" zoomScaleNormal="30" workbookViewId="0">
      <selection activeCell="A33" sqref="A33:XFD34"/>
    </sheetView>
  </sheetViews>
  <sheetFormatPr defaultRowHeight="51.75" x14ac:dyDescent="0.9"/>
  <cols>
    <col min="1" max="1" width="17.75" style="2" bestFit="1" customWidth="1"/>
    <col min="2" max="26" width="15.9140625" style="2" bestFit="1" customWidth="1"/>
    <col min="27" max="16384" width="8.6640625" style="2"/>
  </cols>
  <sheetData>
    <row r="1" spans="1:6" x14ac:dyDescent="0.9">
      <c r="A1" s="3" t="str">
        <f>A13</f>
        <v>Fair Value of Bond</v>
      </c>
      <c r="B1" s="4">
        <f>B31</f>
        <v>99.999999999999943</v>
      </c>
    </row>
    <row r="2" spans="1:6" x14ac:dyDescent="0.9">
      <c r="A2" s="3" t="str">
        <f>A17</f>
        <v>Maturity</v>
      </c>
      <c r="B2" s="5">
        <f>B17</f>
        <v>10</v>
      </c>
    </row>
    <row r="3" spans="1:6" x14ac:dyDescent="0.9">
      <c r="A3" s="3" t="str">
        <f>A33</f>
        <v>Macaulay Duration</v>
      </c>
      <c r="B3" s="6">
        <f>B70</f>
        <v>6.7590238162751497</v>
      </c>
      <c r="C3" s="7" t="str">
        <f>A3&amp;" as a percentage of "&amp;A2</f>
        <v>Macaulay Duration as a percentage of Maturity</v>
      </c>
      <c r="D3" s="7"/>
      <c r="E3" s="7"/>
      <c r="F3" s="8">
        <f>B3/B2</f>
        <v>0.67590238162751493</v>
      </c>
    </row>
    <row r="4" spans="1:6" x14ac:dyDescent="0.9">
      <c r="A4" s="3" t="str">
        <f>A72</f>
        <v>Modified Duration</v>
      </c>
      <c r="B4" s="9">
        <f>B83/100</f>
        <v>6.1445671057046812E-2</v>
      </c>
    </row>
    <row r="5" spans="1:6" x14ac:dyDescent="0.9">
      <c r="A5" s="3"/>
      <c r="B5" s="10"/>
    </row>
    <row r="6" spans="1:6" x14ac:dyDescent="0.9">
      <c r="A6" s="3" t="str">
        <f>A4</f>
        <v>Modified Duration</v>
      </c>
      <c r="B6" s="9">
        <f>B4</f>
        <v>6.1445671057046812E-2</v>
      </c>
    </row>
    <row r="7" spans="1:6" x14ac:dyDescent="0.9">
      <c r="A7" s="3" t="s">
        <v>12</v>
      </c>
      <c r="B7" s="11">
        <f>B16</f>
        <v>0.1</v>
      </c>
    </row>
    <row r="8" spans="1:6" x14ac:dyDescent="0.9">
      <c r="A8" s="2" t="str">
        <f>A1</f>
        <v>Fair Value of Bond</v>
      </c>
      <c r="B8" s="4">
        <f>B1</f>
        <v>99.999999999999943</v>
      </c>
    </row>
    <row r="9" spans="1:6" x14ac:dyDescent="0.9">
      <c r="B9" s="4"/>
    </row>
    <row r="10" spans="1:6" x14ac:dyDescent="0.9">
      <c r="A10" s="2" t="s">
        <v>13</v>
      </c>
      <c r="B10" s="12">
        <v>-2</v>
      </c>
    </row>
    <row r="11" spans="1:6" x14ac:dyDescent="0.9">
      <c r="A11" s="3" t="s">
        <v>14</v>
      </c>
      <c r="B11" s="4">
        <f>B8*(1-(B6*B10))</f>
        <v>112.28913421140929</v>
      </c>
    </row>
    <row r="13" spans="1:6" s="39" customFormat="1" x14ac:dyDescent="0.9">
      <c r="A13" s="38" t="str">
        <f>A31</f>
        <v>Fair Value of Bond</v>
      </c>
    </row>
    <row r="14" spans="1:6" s="39" customFormat="1" x14ac:dyDescent="0.9"/>
    <row r="15" spans="1:6" x14ac:dyDescent="0.9">
      <c r="A15" s="2" t="s">
        <v>0</v>
      </c>
      <c r="B15" s="13">
        <v>10</v>
      </c>
      <c r="E15" s="4"/>
    </row>
    <row r="16" spans="1:6" x14ac:dyDescent="0.9">
      <c r="A16" s="2" t="s">
        <v>1</v>
      </c>
      <c r="B16" s="14">
        <v>0.1</v>
      </c>
      <c r="E16" s="6"/>
    </row>
    <row r="17" spans="1:26" x14ac:dyDescent="0.9">
      <c r="A17" s="2" t="s">
        <v>9</v>
      </c>
      <c r="B17" s="15">
        <v>10</v>
      </c>
      <c r="E17" s="10"/>
    </row>
    <row r="19" spans="1:26" x14ac:dyDescent="0.9">
      <c r="B19" s="16" cm="1">
        <f t="array" ref="B19:K19">_xlfn.SEQUENCE(1,B17)</f>
        <v>1</v>
      </c>
      <c r="C19" s="16">
        <v>2</v>
      </c>
      <c r="D19" s="16">
        <v>3</v>
      </c>
      <c r="E19" s="16">
        <v>4</v>
      </c>
      <c r="F19" s="16">
        <v>5</v>
      </c>
      <c r="G19" s="16">
        <v>6</v>
      </c>
      <c r="H19" s="16">
        <v>7</v>
      </c>
      <c r="I19" s="16">
        <v>8</v>
      </c>
      <c r="J19" s="16">
        <v>9</v>
      </c>
      <c r="K19" s="16">
        <v>10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9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26" ht="52.5" thickBot="1" x14ac:dyDescent="0.95">
      <c r="B21" s="18" t="str">
        <f>IF(B19&lt;&gt;"",$A$15,"")</f>
        <v>Coupon</v>
      </c>
      <c r="C21" s="18" t="str">
        <f t="shared" ref="C21:Z21" si="0">IF(C19&lt;&gt;"",$A$15,"")</f>
        <v>Coupon</v>
      </c>
      <c r="D21" s="18" t="str">
        <f t="shared" si="0"/>
        <v>Coupon</v>
      </c>
      <c r="E21" s="18" t="str">
        <f t="shared" si="0"/>
        <v>Coupon</v>
      </c>
      <c r="F21" s="18" t="str">
        <f t="shared" si="0"/>
        <v>Coupon</v>
      </c>
      <c r="G21" s="18" t="str">
        <f t="shared" si="0"/>
        <v>Coupon</v>
      </c>
      <c r="H21" s="18" t="str">
        <f t="shared" si="0"/>
        <v>Coupon</v>
      </c>
      <c r="I21" s="18" t="str">
        <f t="shared" si="0"/>
        <v>Coupon</v>
      </c>
      <c r="J21" s="18" t="str">
        <f t="shared" si="0"/>
        <v>Coupon</v>
      </c>
      <c r="K21" s="18" t="str">
        <f t="shared" si="0"/>
        <v>Coupon</v>
      </c>
      <c r="L21" s="18" t="str">
        <f t="shared" si="0"/>
        <v/>
      </c>
      <c r="M21" s="18" t="str">
        <f t="shared" si="0"/>
        <v/>
      </c>
      <c r="N21" s="18" t="str">
        <f t="shared" si="0"/>
        <v/>
      </c>
      <c r="O21" s="18" t="str">
        <f t="shared" si="0"/>
        <v/>
      </c>
      <c r="P21" s="18" t="str">
        <f t="shared" si="0"/>
        <v/>
      </c>
      <c r="Q21" s="18" t="str">
        <f t="shared" si="0"/>
        <v/>
      </c>
      <c r="R21" s="18" t="str">
        <f t="shared" si="0"/>
        <v/>
      </c>
      <c r="S21" s="18" t="str">
        <f t="shared" si="0"/>
        <v/>
      </c>
      <c r="T21" s="18" t="str">
        <f t="shared" si="0"/>
        <v/>
      </c>
      <c r="U21" s="18" t="str">
        <f t="shared" si="0"/>
        <v/>
      </c>
      <c r="V21" s="18" t="str">
        <f t="shared" si="0"/>
        <v/>
      </c>
      <c r="W21" s="18" t="str">
        <f t="shared" si="0"/>
        <v/>
      </c>
      <c r="X21" s="18" t="str">
        <f t="shared" si="0"/>
        <v/>
      </c>
      <c r="Y21" s="18" t="str">
        <f t="shared" si="0"/>
        <v/>
      </c>
      <c r="Z21" s="18" t="str">
        <f t="shared" si="0"/>
        <v/>
      </c>
    </row>
    <row r="22" spans="1:26" x14ac:dyDescent="0.9">
      <c r="B22" s="17" t="str">
        <f>IF(B19&lt;&gt;"","(1 + r)^n","")</f>
        <v>(1 + r)^n</v>
      </c>
      <c r="C22" s="17" t="str">
        <f t="shared" ref="C22:Z22" si="1">IF(C19&lt;&gt;"","(1 + r)^n","")</f>
        <v>(1 + r)^n</v>
      </c>
      <c r="D22" s="17" t="str">
        <f t="shared" si="1"/>
        <v>(1 + r)^n</v>
      </c>
      <c r="E22" s="17" t="str">
        <f t="shared" si="1"/>
        <v>(1 + r)^n</v>
      </c>
      <c r="F22" s="17" t="str">
        <f t="shared" si="1"/>
        <v>(1 + r)^n</v>
      </c>
      <c r="G22" s="17" t="str">
        <f t="shared" si="1"/>
        <v>(1 + r)^n</v>
      </c>
      <c r="H22" s="17" t="str">
        <f t="shared" si="1"/>
        <v>(1 + r)^n</v>
      </c>
      <c r="I22" s="17" t="str">
        <f t="shared" si="1"/>
        <v>(1 + r)^n</v>
      </c>
      <c r="J22" s="17" t="str">
        <f t="shared" si="1"/>
        <v>(1 + r)^n</v>
      </c>
      <c r="K22" s="17" t="str">
        <f t="shared" si="1"/>
        <v>(1 + r)^n</v>
      </c>
      <c r="L22" s="17" t="str">
        <f t="shared" si="1"/>
        <v/>
      </c>
      <c r="M22" s="17" t="str">
        <f t="shared" si="1"/>
        <v/>
      </c>
      <c r="N22" s="17" t="str">
        <f t="shared" si="1"/>
        <v/>
      </c>
      <c r="O22" s="17" t="str">
        <f t="shared" si="1"/>
        <v/>
      </c>
      <c r="P22" s="17" t="str">
        <f t="shared" si="1"/>
        <v/>
      </c>
      <c r="Q22" s="17" t="str">
        <f t="shared" si="1"/>
        <v/>
      </c>
      <c r="R22" s="17" t="str">
        <f t="shared" si="1"/>
        <v/>
      </c>
      <c r="S22" s="17" t="str">
        <f t="shared" si="1"/>
        <v/>
      </c>
      <c r="T22" s="17" t="str">
        <f t="shared" si="1"/>
        <v/>
      </c>
      <c r="U22" s="17" t="str">
        <f t="shared" si="1"/>
        <v/>
      </c>
      <c r="V22" s="17" t="str">
        <f t="shared" si="1"/>
        <v/>
      </c>
      <c r="W22" s="17" t="str">
        <f t="shared" si="1"/>
        <v/>
      </c>
      <c r="X22" s="17" t="str">
        <f t="shared" si="1"/>
        <v/>
      </c>
      <c r="Y22" s="17" t="str">
        <f t="shared" si="1"/>
        <v/>
      </c>
      <c r="Z22" s="17" t="str">
        <f t="shared" si="1"/>
        <v/>
      </c>
    </row>
    <row r="23" spans="1:26" x14ac:dyDescent="0.9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26" ht="52.5" thickBot="1" x14ac:dyDescent="0.95">
      <c r="B24" s="18">
        <f>IF(B19&lt;&gt;"",$B$15,"")</f>
        <v>10</v>
      </c>
      <c r="C24" s="18">
        <f t="shared" ref="C24:Z24" si="2">IF(C19&lt;&gt;"",$B$15,"")</f>
        <v>10</v>
      </c>
      <c r="D24" s="18">
        <f t="shared" si="2"/>
        <v>10</v>
      </c>
      <c r="E24" s="18">
        <f t="shared" si="2"/>
        <v>10</v>
      </c>
      <c r="F24" s="18">
        <f t="shared" si="2"/>
        <v>10</v>
      </c>
      <c r="G24" s="18">
        <f t="shared" si="2"/>
        <v>10</v>
      </c>
      <c r="H24" s="18">
        <f t="shared" si="2"/>
        <v>10</v>
      </c>
      <c r="I24" s="18">
        <f t="shared" si="2"/>
        <v>10</v>
      </c>
      <c r="J24" s="18">
        <f t="shared" si="2"/>
        <v>10</v>
      </c>
      <c r="K24" s="18">
        <f t="shared" si="2"/>
        <v>10</v>
      </c>
      <c r="L24" s="18" t="str">
        <f t="shared" si="2"/>
        <v/>
      </c>
      <c r="M24" s="18" t="str">
        <f t="shared" si="2"/>
        <v/>
      </c>
      <c r="N24" s="18" t="str">
        <f t="shared" si="2"/>
        <v/>
      </c>
      <c r="O24" s="18" t="str">
        <f t="shared" si="2"/>
        <v/>
      </c>
      <c r="P24" s="18" t="str">
        <f t="shared" si="2"/>
        <v/>
      </c>
      <c r="Q24" s="18" t="str">
        <f t="shared" si="2"/>
        <v/>
      </c>
      <c r="R24" s="18" t="str">
        <f t="shared" si="2"/>
        <v/>
      </c>
      <c r="S24" s="18" t="str">
        <f t="shared" si="2"/>
        <v/>
      </c>
      <c r="T24" s="18" t="str">
        <f t="shared" si="2"/>
        <v/>
      </c>
      <c r="U24" s="18" t="str">
        <f t="shared" si="2"/>
        <v/>
      </c>
      <c r="V24" s="18" t="str">
        <f t="shared" si="2"/>
        <v/>
      </c>
      <c r="W24" s="18" t="str">
        <f t="shared" si="2"/>
        <v/>
      </c>
      <c r="X24" s="18" t="str">
        <f t="shared" si="2"/>
        <v/>
      </c>
      <c r="Y24" s="18" t="str">
        <f t="shared" si="2"/>
        <v/>
      </c>
      <c r="Z24" s="18" t="str">
        <f t="shared" si="2"/>
        <v/>
      </c>
    </row>
    <row r="25" spans="1:26" x14ac:dyDescent="0.9">
      <c r="B25" s="19">
        <f>IF(B19&lt;&gt;"",(1+$B$16)^B19,"")</f>
        <v>1.1000000000000001</v>
      </c>
      <c r="C25" s="19">
        <f t="shared" ref="C25:Z25" si="3">IF(C19&lt;&gt;"",(1+$B$16)^C19,"")</f>
        <v>1.2100000000000002</v>
      </c>
      <c r="D25" s="19">
        <f t="shared" si="3"/>
        <v>1.3310000000000004</v>
      </c>
      <c r="E25" s="19">
        <f t="shared" si="3"/>
        <v>1.4641000000000004</v>
      </c>
      <c r="F25" s="19">
        <f t="shared" si="3"/>
        <v>1.6105100000000006</v>
      </c>
      <c r="G25" s="19">
        <f t="shared" si="3"/>
        <v>1.7715610000000008</v>
      </c>
      <c r="H25" s="19">
        <f t="shared" si="3"/>
        <v>1.9487171000000012</v>
      </c>
      <c r="I25" s="19">
        <f t="shared" si="3"/>
        <v>2.1435888100000011</v>
      </c>
      <c r="J25" s="19">
        <f t="shared" si="3"/>
        <v>2.3579476910000015</v>
      </c>
      <c r="K25" s="19">
        <f t="shared" si="3"/>
        <v>2.5937424601000019</v>
      </c>
      <c r="L25" s="19" t="str">
        <f t="shared" si="3"/>
        <v/>
      </c>
      <c r="M25" s="19" t="str">
        <f t="shared" si="3"/>
        <v/>
      </c>
      <c r="N25" s="19" t="str">
        <f t="shared" si="3"/>
        <v/>
      </c>
      <c r="O25" s="19" t="str">
        <f t="shared" si="3"/>
        <v/>
      </c>
      <c r="P25" s="19" t="str">
        <f t="shared" si="3"/>
        <v/>
      </c>
      <c r="Q25" s="19" t="str">
        <f t="shared" si="3"/>
        <v/>
      </c>
      <c r="R25" s="19" t="str">
        <f t="shared" si="3"/>
        <v/>
      </c>
      <c r="S25" s="19" t="str">
        <f t="shared" si="3"/>
        <v/>
      </c>
      <c r="T25" s="19" t="str">
        <f t="shared" si="3"/>
        <v/>
      </c>
      <c r="U25" s="19" t="str">
        <f t="shared" si="3"/>
        <v/>
      </c>
      <c r="V25" s="19" t="str">
        <f t="shared" si="3"/>
        <v/>
      </c>
      <c r="W25" s="19" t="str">
        <f t="shared" si="3"/>
        <v/>
      </c>
      <c r="X25" s="19" t="str">
        <f t="shared" si="3"/>
        <v/>
      </c>
      <c r="Y25" s="19" t="str">
        <f t="shared" si="3"/>
        <v/>
      </c>
      <c r="Z25" s="19" t="str">
        <f t="shared" si="3"/>
        <v/>
      </c>
    </row>
    <row r="27" spans="1:26" x14ac:dyDescent="0.9">
      <c r="A27" s="2" t="str">
        <f>"PV of "&amp;A15</f>
        <v>PV of Coupon</v>
      </c>
      <c r="B27" s="20">
        <f>IF(B19&lt;&gt;"",B24/B25,"")</f>
        <v>9.0909090909090899</v>
      </c>
      <c r="C27" s="20">
        <f t="shared" ref="C27:Z27" si="4">IF(C19&lt;&gt;"",C24/C25,"")</f>
        <v>8.2644628099173545</v>
      </c>
      <c r="D27" s="20">
        <f t="shared" si="4"/>
        <v>7.513148009015775</v>
      </c>
      <c r="E27" s="20">
        <f t="shared" si="4"/>
        <v>6.830134553650705</v>
      </c>
      <c r="F27" s="20">
        <f t="shared" si="4"/>
        <v>6.2092132305915495</v>
      </c>
      <c r="G27" s="20">
        <f t="shared" si="4"/>
        <v>5.644739300537772</v>
      </c>
      <c r="H27" s="20">
        <f t="shared" si="4"/>
        <v>5.1315811823070643</v>
      </c>
      <c r="I27" s="20">
        <f t="shared" si="4"/>
        <v>4.6650738020973321</v>
      </c>
      <c r="J27" s="20">
        <f t="shared" si="4"/>
        <v>4.2409761837248467</v>
      </c>
      <c r="K27" s="20">
        <f t="shared" si="4"/>
        <v>3.8554328942953147</v>
      </c>
      <c r="L27" s="20" t="str">
        <f t="shared" si="4"/>
        <v/>
      </c>
      <c r="M27" s="20" t="str">
        <f t="shared" si="4"/>
        <v/>
      </c>
      <c r="N27" s="20" t="str">
        <f t="shared" si="4"/>
        <v/>
      </c>
      <c r="O27" s="20" t="str">
        <f t="shared" si="4"/>
        <v/>
      </c>
      <c r="P27" s="20" t="str">
        <f t="shared" si="4"/>
        <v/>
      </c>
      <c r="Q27" s="20" t="str">
        <f t="shared" si="4"/>
        <v/>
      </c>
      <c r="R27" s="20" t="str">
        <f t="shared" si="4"/>
        <v/>
      </c>
      <c r="S27" s="20" t="str">
        <f t="shared" si="4"/>
        <v/>
      </c>
      <c r="T27" s="20" t="str">
        <f t="shared" si="4"/>
        <v/>
      </c>
      <c r="U27" s="20" t="str">
        <f t="shared" si="4"/>
        <v/>
      </c>
      <c r="V27" s="20" t="str">
        <f t="shared" si="4"/>
        <v/>
      </c>
      <c r="W27" s="20" t="str">
        <f t="shared" si="4"/>
        <v/>
      </c>
      <c r="X27" s="20" t="str">
        <f t="shared" si="4"/>
        <v/>
      </c>
      <c r="Y27" s="20" t="str">
        <f t="shared" si="4"/>
        <v/>
      </c>
      <c r="Z27" s="20" t="str">
        <f t="shared" si="4"/>
        <v/>
      </c>
    </row>
    <row r="28" spans="1:26" x14ac:dyDescent="0.9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9">
      <c r="A29" s="2" t="str">
        <f>"ΣPV of "&amp;A15&amp;"s"</f>
        <v>ΣPV of Coupons</v>
      </c>
      <c r="B29" s="4">
        <f>SUM(B27:Z27)</f>
        <v>61.445671057046802</v>
      </c>
    </row>
    <row r="30" spans="1:26" ht="52.5" thickBot="1" x14ac:dyDescent="0.95">
      <c r="A30" s="2" t="s">
        <v>10</v>
      </c>
      <c r="B30" s="4">
        <f>100/(1+B16)^B17</f>
        <v>38.554328942953148</v>
      </c>
    </row>
    <row r="31" spans="1:26" x14ac:dyDescent="0.9">
      <c r="A31" s="21" t="s">
        <v>15</v>
      </c>
      <c r="B31" s="22">
        <f>SUM(B29:B30)</f>
        <v>99.999999999999943</v>
      </c>
    </row>
    <row r="32" spans="1:26" x14ac:dyDescent="0.9">
      <c r="B32" s="20"/>
    </row>
    <row r="33" spans="1:6" s="39" customFormat="1" x14ac:dyDescent="0.9">
      <c r="A33" s="38" t="str">
        <f>_xlfn.TEXTBEFORE(A64," =")</f>
        <v>Macaulay Duration</v>
      </c>
    </row>
    <row r="34" spans="1:6" s="39" customFormat="1" x14ac:dyDescent="0.9"/>
    <row r="35" spans="1:6" x14ac:dyDescent="0.9">
      <c r="B35" s="23" t="s">
        <v>3</v>
      </c>
      <c r="C35" s="23" t="s">
        <v>4</v>
      </c>
      <c r="D35" s="23" t="s">
        <v>5</v>
      </c>
      <c r="E35" s="23" t="s">
        <v>6</v>
      </c>
      <c r="F35" s="23" t="str">
        <f>E35&amp;" x "&amp;B35</f>
        <v>PV of CF x Time</v>
      </c>
    </row>
    <row r="36" spans="1:6" x14ac:dyDescent="0.9">
      <c r="B36" s="17" cm="1">
        <f t="array" ref="B36:B60">TRANSPOSE(B19:Z19)</f>
        <v>1</v>
      </c>
      <c r="C36" s="17" cm="1">
        <f t="array" ref="C36:C60">TRANSPOSE(B24:Z24)</f>
        <v>10</v>
      </c>
      <c r="D36" s="20" cm="1">
        <f t="array" ref="D36:D60">IFERROR(1/TRANSPOSE(B25:Z25),0)</f>
        <v>0.90909090909090906</v>
      </c>
      <c r="E36" s="20">
        <f>IFERROR(C36*D36,0)</f>
        <v>9.0909090909090899</v>
      </c>
      <c r="F36" s="20">
        <f>IFERROR(B36*E36,0)</f>
        <v>9.0909090909090899</v>
      </c>
    </row>
    <row r="37" spans="1:6" x14ac:dyDescent="0.9">
      <c r="B37" s="17">
        <v>2</v>
      </c>
      <c r="C37" s="17">
        <v>10</v>
      </c>
      <c r="D37" s="20">
        <v>0.82644628099173545</v>
      </c>
      <c r="E37" s="20">
        <f t="shared" ref="E37:E61" si="5">IFERROR(C37*D37,0)</f>
        <v>8.2644628099173545</v>
      </c>
      <c r="F37" s="20">
        <f t="shared" ref="F37:F61" si="6">IFERROR(B37*E37,0)</f>
        <v>16.528925619834709</v>
      </c>
    </row>
    <row r="38" spans="1:6" x14ac:dyDescent="0.9">
      <c r="B38" s="17">
        <v>3</v>
      </c>
      <c r="C38" s="17">
        <v>10</v>
      </c>
      <c r="D38" s="20">
        <v>0.75131480090157754</v>
      </c>
      <c r="E38" s="20">
        <f t="shared" si="5"/>
        <v>7.5131480090157758</v>
      </c>
      <c r="F38" s="20">
        <f t="shared" si="6"/>
        <v>22.539444027047328</v>
      </c>
    </row>
    <row r="39" spans="1:6" x14ac:dyDescent="0.9">
      <c r="B39" s="17">
        <v>4</v>
      </c>
      <c r="C39" s="17">
        <v>10</v>
      </c>
      <c r="D39" s="20">
        <v>0.68301345536507052</v>
      </c>
      <c r="E39" s="20">
        <f t="shared" si="5"/>
        <v>6.830134553650705</v>
      </c>
      <c r="F39" s="20">
        <f t="shared" si="6"/>
        <v>27.32053821460282</v>
      </c>
    </row>
    <row r="40" spans="1:6" x14ac:dyDescent="0.9">
      <c r="B40" s="17">
        <v>5</v>
      </c>
      <c r="C40" s="17">
        <v>10</v>
      </c>
      <c r="D40" s="20">
        <v>0.62092132305915493</v>
      </c>
      <c r="E40" s="20">
        <f t="shared" si="5"/>
        <v>6.2092132305915495</v>
      </c>
      <c r="F40" s="20">
        <f t="shared" si="6"/>
        <v>31.046066152957749</v>
      </c>
    </row>
    <row r="41" spans="1:6" x14ac:dyDescent="0.9">
      <c r="B41" s="17">
        <v>6</v>
      </c>
      <c r="C41" s="17">
        <v>10</v>
      </c>
      <c r="D41" s="20">
        <v>0.56447393005377722</v>
      </c>
      <c r="E41" s="20">
        <f t="shared" si="5"/>
        <v>5.644739300537772</v>
      </c>
      <c r="F41" s="20">
        <f t="shared" si="6"/>
        <v>33.868435803226632</v>
      </c>
    </row>
    <row r="42" spans="1:6" x14ac:dyDescent="0.9">
      <c r="B42" s="17">
        <v>7</v>
      </c>
      <c r="C42" s="17">
        <v>10</v>
      </c>
      <c r="D42" s="20">
        <v>0.51315811823070645</v>
      </c>
      <c r="E42" s="20">
        <f t="shared" si="5"/>
        <v>5.1315811823070643</v>
      </c>
      <c r="F42" s="20">
        <f t="shared" si="6"/>
        <v>35.921068276149448</v>
      </c>
    </row>
    <row r="43" spans="1:6" x14ac:dyDescent="0.9">
      <c r="B43" s="17">
        <v>8</v>
      </c>
      <c r="C43" s="17">
        <v>10</v>
      </c>
      <c r="D43" s="20">
        <v>0.46650738020973315</v>
      </c>
      <c r="E43" s="20">
        <f t="shared" si="5"/>
        <v>4.6650738020973312</v>
      </c>
      <c r="F43" s="20">
        <f t="shared" si="6"/>
        <v>37.32059041677865</v>
      </c>
    </row>
    <row r="44" spans="1:6" x14ac:dyDescent="0.9">
      <c r="B44" s="17">
        <v>9</v>
      </c>
      <c r="C44" s="17">
        <v>10</v>
      </c>
      <c r="D44" s="20">
        <v>0.42409761837248466</v>
      </c>
      <c r="E44" s="20">
        <f t="shared" si="5"/>
        <v>4.2409761837248467</v>
      </c>
      <c r="F44" s="20">
        <f t="shared" si="6"/>
        <v>38.168785653523621</v>
      </c>
    </row>
    <row r="45" spans="1:6" x14ac:dyDescent="0.9">
      <c r="B45" s="17">
        <v>10</v>
      </c>
      <c r="C45" s="17">
        <v>10</v>
      </c>
      <c r="D45" s="20">
        <v>0.38554328942953148</v>
      </c>
      <c r="E45" s="20">
        <f t="shared" si="5"/>
        <v>3.8554328942953147</v>
      </c>
      <c r="F45" s="20">
        <f t="shared" si="6"/>
        <v>38.554328942953148</v>
      </c>
    </row>
    <row r="46" spans="1:6" x14ac:dyDescent="0.9">
      <c r="B46" s="17">
        <v>0</v>
      </c>
      <c r="C46" s="17" t="str">
        <v/>
      </c>
      <c r="D46" s="20">
        <v>0</v>
      </c>
      <c r="E46" s="20">
        <f t="shared" si="5"/>
        <v>0</v>
      </c>
      <c r="F46" s="20">
        <f t="shared" si="6"/>
        <v>0</v>
      </c>
    </row>
    <row r="47" spans="1:6" x14ac:dyDescent="0.9">
      <c r="B47" s="17">
        <v>0</v>
      </c>
      <c r="C47" s="17" t="str">
        <v/>
      </c>
      <c r="D47" s="20">
        <v>0</v>
      </c>
      <c r="E47" s="20">
        <f t="shared" si="5"/>
        <v>0</v>
      </c>
      <c r="F47" s="20">
        <f t="shared" si="6"/>
        <v>0</v>
      </c>
    </row>
    <row r="48" spans="1:6" x14ac:dyDescent="0.9">
      <c r="B48" s="17">
        <v>0</v>
      </c>
      <c r="C48" s="17" t="str">
        <v/>
      </c>
      <c r="D48" s="20">
        <v>0</v>
      </c>
      <c r="E48" s="20">
        <f t="shared" si="5"/>
        <v>0</v>
      </c>
      <c r="F48" s="20">
        <f t="shared" si="6"/>
        <v>0</v>
      </c>
    </row>
    <row r="49" spans="1:6" x14ac:dyDescent="0.9">
      <c r="B49" s="17">
        <v>0</v>
      </c>
      <c r="C49" s="17" t="str">
        <v/>
      </c>
      <c r="D49" s="20">
        <v>0</v>
      </c>
      <c r="E49" s="20">
        <f t="shared" si="5"/>
        <v>0</v>
      </c>
      <c r="F49" s="20">
        <f t="shared" si="6"/>
        <v>0</v>
      </c>
    </row>
    <row r="50" spans="1:6" x14ac:dyDescent="0.9">
      <c r="B50" s="17">
        <v>0</v>
      </c>
      <c r="C50" s="17" t="str">
        <v/>
      </c>
      <c r="D50" s="20">
        <v>0</v>
      </c>
      <c r="E50" s="20">
        <f t="shared" si="5"/>
        <v>0</v>
      </c>
      <c r="F50" s="20">
        <f t="shared" si="6"/>
        <v>0</v>
      </c>
    </row>
    <row r="51" spans="1:6" x14ac:dyDescent="0.9">
      <c r="B51" s="17">
        <v>0</v>
      </c>
      <c r="C51" s="17" t="str">
        <v/>
      </c>
      <c r="D51" s="20">
        <v>0</v>
      </c>
      <c r="E51" s="20">
        <f t="shared" si="5"/>
        <v>0</v>
      </c>
      <c r="F51" s="20">
        <f t="shared" si="6"/>
        <v>0</v>
      </c>
    </row>
    <row r="52" spans="1:6" x14ac:dyDescent="0.9">
      <c r="B52" s="17">
        <v>0</v>
      </c>
      <c r="C52" s="17" t="str">
        <v/>
      </c>
      <c r="D52" s="20">
        <v>0</v>
      </c>
      <c r="E52" s="20">
        <f t="shared" si="5"/>
        <v>0</v>
      </c>
      <c r="F52" s="20">
        <f t="shared" si="6"/>
        <v>0</v>
      </c>
    </row>
    <row r="53" spans="1:6" x14ac:dyDescent="0.9">
      <c r="B53" s="17">
        <v>0</v>
      </c>
      <c r="C53" s="17" t="str">
        <v/>
      </c>
      <c r="D53" s="20">
        <v>0</v>
      </c>
      <c r="E53" s="20">
        <f t="shared" si="5"/>
        <v>0</v>
      </c>
      <c r="F53" s="20">
        <f t="shared" si="6"/>
        <v>0</v>
      </c>
    </row>
    <row r="54" spans="1:6" x14ac:dyDescent="0.9">
      <c r="B54" s="17">
        <v>0</v>
      </c>
      <c r="C54" s="17" t="str">
        <v/>
      </c>
      <c r="D54" s="20">
        <v>0</v>
      </c>
      <c r="E54" s="20">
        <f t="shared" si="5"/>
        <v>0</v>
      </c>
      <c r="F54" s="20">
        <f t="shared" si="6"/>
        <v>0</v>
      </c>
    </row>
    <row r="55" spans="1:6" x14ac:dyDescent="0.9">
      <c r="B55" s="17">
        <v>0</v>
      </c>
      <c r="C55" s="17" t="str">
        <v/>
      </c>
      <c r="D55" s="20">
        <v>0</v>
      </c>
      <c r="E55" s="20">
        <f t="shared" si="5"/>
        <v>0</v>
      </c>
      <c r="F55" s="20">
        <f t="shared" si="6"/>
        <v>0</v>
      </c>
    </row>
    <row r="56" spans="1:6" x14ac:dyDescent="0.9">
      <c r="B56" s="17">
        <v>0</v>
      </c>
      <c r="C56" s="17" t="str">
        <v/>
      </c>
      <c r="D56" s="20">
        <v>0</v>
      </c>
      <c r="E56" s="20">
        <f t="shared" si="5"/>
        <v>0</v>
      </c>
      <c r="F56" s="20">
        <f t="shared" si="6"/>
        <v>0</v>
      </c>
    </row>
    <row r="57" spans="1:6" x14ac:dyDescent="0.9">
      <c r="B57" s="17">
        <v>0</v>
      </c>
      <c r="C57" s="17" t="str">
        <v/>
      </c>
      <c r="D57" s="20">
        <v>0</v>
      </c>
      <c r="E57" s="20">
        <f t="shared" si="5"/>
        <v>0</v>
      </c>
      <c r="F57" s="20">
        <f t="shared" si="6"/>
        <v>0</v>
      </c>
    </row>
    <row r="58" spans="1:6" x14ac:dyDescent="0.9">
      <c r="B58" s="17">
        <v>0</v>
      </c>
      <c r="C58" s="17" t="str">
        <v/>
      </c>
      <c r="D58" s="20">
        <v>0</v>
      </c>
      <c r="E58" s="20">
        <f t="shared" si="5"/>
        <v>0</v>
      </c>
      <c r="F58" s="20">
        <f t="shared" si="6"/>
        <v>0</v>
      </c>
    </row>
    <row r="59" spans="1:6" x14ac:dyDescent="0.9">
      <c r="B59" s="17">
        <v>0</v>
      </c>
      <c r="C59" s="17" t="str">
        <v/>
      </c>
      <c r="D59" s="20">
        <v>0</v>
      </c>
      <c r="E59" s="20">
        <f t="shared" si="5"/>
        <v>0</v>
      </c>
      <c r="F59" s="20">
        <f t="shared" si="6"/>
        <v>0</v>
      </c>
    </row>
    <row r="60" spans="1:6" x14ac:dyDescent="0.9">
      <c r="B60" s="17">
        <v>0</v>
      </c>
      <c r="C60" s="17" t="str">
        <v/>
      </c>
      <c r="D60" s="20">
        <v>0</v>
      </c>
      <c r="E60" s="20">
        <f t="shared" si="5"/>
        <v>0</v>
      </c>
      <c r="F60" s="20">
        <f t="shared" si="6"/>
        <v>0</v>
      </c>
    </row>
    <row r="61" spans="1:6" ht="52.5" thickBot="1" x14ac:dyDescent="0.95">
      <c r="B61" s="17">
        <f>B17</f>
        <v>10</v>
      </c>
      <c r="C61" s="17">
        <f>100</f>
        <v>100</v>
      </c>
      <c r="D61" s="20">
        <f>1/(1+B16)^B17</f>
        <v>0.38554328942953148</v>
      </c>
      <c r="E61" s="20">
        <f t="shared" si="5"/>
        <v>38.554328942953148</v>
      </c>
      <c r="F61" s="20">
        <f t="shared" si="6"/>
        <v>385.54328942953146</v>
      </c>
    </row>
    <row r="62" spans="1:6" ht="52.5" thickBot="1" x14ac:dyDescent="0.95">
      <c r="E62" s="24">
        <f>SUM(E36:E61)</f>
        <v>99.999999999999943</v>
      </c>
      <c r="F62" s="24">
        <f>SUM(F36:F61)</f>
        <v>675.90238162751461</v>
      </c>
    </row>
    <row r="63" spans="1:6" x14ac:dyDescent="0.9">
      <c r="E63" s="25"/>
      <c r="F63" s="25"/>
    </row>
    <row r="64" spans="1:6" ht="52.5" thickBot="1" x14ac:dyDescent="0.95">
      <c r="A64" s="2" t="s">
        <v>7</v>
      </c>
      <c r="B64" s="17" t="str">
        <f>"Σ"&amp;F35</f>
        <v>ΣPV of CF x Time</v>
      </c>
      <c r="E64" s="25"/>
    </row>
    <row r="65" spans="1:5" x14ac:dyDescent="0.9">
      <c r="B65" s="26" t="str">
        <f>"Σ"&amp;E35</f>
        <v>ΣPV of CF</v>
      </c>
      <c r="E65" s="25"/>
    </row>
    <row r="67" spans="1:5" ht="52.5" thickBot="1" x14ac:dyDescent="0.95">
      <c r="B67" s="20">
        <f>F62</f>
        <v>675.90238162751461</v>
      </c>
    </row>
    <row r="68" spans="1:5" x14ac:dyDescent="0.9">
      <c r="B68" s="27">
        <f>E62</f>
        <v>99.999999999999943</v>
      </c>
    </row>
    <row r="70" spans="1:5" x14ac:dyDescent="0.9">
      <c r="B70" s="6">
        <f>B67/B68</f>
        <v>6.7590238162751497</v>
      </c>
    </row>
    <row r="71" spans="1:5" x14ac:dyDescent="0.9">
      <c r="B71" s="6"/>
    </row>
    <row r="72" spans="1:5" s="39" customFormat="1" x14ac:dyDescent="0.9">
      <c r="A72" s="38" t="str">
        <f>_xlfn.TEXTBEFORE(A77," =")</f>
        <v>Modified Duration</v>
      </c>
    </row>
    <row r="73" spans="1:5" s="39" customFormat="1" x14ac:dyDescent="0.9"/>
    <row r="74" spans="1:5" x14ac:dyDescent="0.9">
      <c r="A74" s="2" t="str">
        <f>A64</f>
        <v xml:space="preserve">Macaulay Duration = </v>
      </c>
      <c r="B74" s="6">
        <f>B70</f>
        <v>6.7590238162751497</v>
      </c>
      <c r="C74" s="28"/>
    </row>
    <row r="75" spans="1:5" x14ac:dyDescent="0.9">
      <c r="A75" s="2" t="str">
        <f>A16</f>
        <v>Yield</v>
      </c>
      <c r="B75" s="29">
        <f>B16</f>
        <v>0.1</v>
      </c>
      <c r="C75" s="30"/>
    </row>
    <row r="77" spans="1:5" ht="52.5" thickBot="1" x14ac:dyDescent="0.95">
      <c r="A77" s="2" t="s">
        <v>8</v>
      </c>
      <c r="B77" s="31" t="str">
        <f>_xlfn.TEXTBEFORE(A74," =")</f>
        <v>Macaulay Duration</v>
      </c>
    </row>
    <row r="78" spans="1:5" x14ac:dyDescent="0.9">
      <c r="B78" s="17" t="str">
        <f>"1 + "&amp;A75</f>
        <v>1 + Yield</v>
      </c>
    </row>
    <row r="80" spans="1:5" ht="52.5" thickBot="1" x14ac:dyDescent="0.95">
      <c r="B80" s="32">
        <f>B74</f>
        <v>6.7590238162751497</v>
      </c>
      <c r="C80" s="33"/>
    </row>
    <row r="81" spans="2:3" x14ac:dyDescent="0.9">
      <c r="B81" s="20">
        <f>1+B75</f>
        <v>1.1000000000000001</v>
      </c>
      <c r="C81" s="19"/>
    </row>
    <row r="82" spans="2:3" x14ac:dyDescent="0.9">
      <c r="B82" s="17"/>
    </row>
    <row r="83" spans="2:3" x14ac:dyDescent="0.9">
      <c r="B83" s="34">
        <f>B80/B81</f>
        <v>6.1445671057046809</v>
      </c>
      <c r="C83" s="35"/>
    </row>
  </sheetData>
  <mergeCells count="1">
    <mergeCell ref="C3:E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D78C000-EAA0-4745-9119-1AAE871C3C4B}">
          <x14:formula1>
            <xm:f>'Validation inputs'!$B$1:$B$16</xm:f>
          </x14:formula1>
          <xm:sqref>B15</xm:sqref>
        </x14:dataValidation>
        <x14:dataValidation type="list" allowBlank="1" showInputMessage="1" showErrorMessage="1" xr:uid="{7A11548D-0518-4905-926B-9469812836A0}">
          <x14:formula1>
            <xm:f>'Validation inputs'!$A$1:$A$10</xm:f>
          </x14:formula1>
          <xm:sqref>B16</xm:sqref>
        </x14:dataValidation>
        <x14:dataValidation type="list" allowBlank="1" showInputMessage="1" showErrorMessage="1" xr:uid="{A34A6680-966B-4556-9FC4-AAB171386F9B}">
          <x14:formula1>
            <xm:f>'Validation inputs'!$C$1:$C$25</xm:f>
          </x14:formula1>
          <xm:sqref>B17</xm:sqref>
        </x14:dataValidation>
        <x14:dataValidation type="list" allowBlank="1" showInputMessage="1" showErrorMessage="1" xr:uid="{A91350C9-B830-4C13-A01A-2DF91F6DE3E5}">
          <x14:formula1>
            <xm:f>'Validation inputs'!$D$1:$D$9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3B4A-16AD-4FCF-9A8D-3DD8450E0031}">
  <dimension ref="A1:E25"/>
  <sheetViews>
    <sheetView tabSelected="1" zoomScale="30" zoomScaleNormal="30" workbookViewId="0">
      <selection activeCell="I16" sqref="I16"/>
    </sheetView>
  </sheetViews>
  <sheetFormatPr defaultRowHeight="51.75" x14ac:dyDescent="0.9"/>
  <cols>
    <col min="1" max="16384" width="8.6640625" style="2"/>
  </cols>
  <sheetData>
    <row r="1" spans="1:5" x14ac:dyDescent="0.9">
      <c r="A1" s="1">
        <v>0.01</v>
      </c>
      <c r="B1" s="2">
        <v>0</v>
      </c>
      <c r="C1" s="2">
        <v>1</v>
      </c>
      <c r="D1" s="2">
        <v>-2</v>
      </c>
      <c r="E1" s="2">
        <v>0.01</v>
      </c>
    </row>
    <row r="2" spans="1:5" x14ac:dyDescent="0.9">
      <c r="A2" s="1">
        <v>0.02</v>
      </c>
      <c r="B2" s="2">
        <f>B1+1</f>
        <v>1</v>
      </c>
      <c r="C2" s="2">
        <f>C1+1</f>
        <v>2</v>
      </c>
      <c r="D2" s="2">
        <v>-1.5</v>
      </c>
      <c r="E2" s="2">
        <v>0.01</v>
      </c>
    </row>
    <row r="3" spans="1:5" x14ac:dyDescent="0.9">
      <c r="A3" s="1">
        <v>0.03</v>
      </c>
      <c r="B3" s="2">
        <f t="shared" ref="B3:B16" si="0">B2+1</f>
        <v>2</v>
      </c>
      <c r="C3" s="2">
        <f t="shared" ref="C3:C25" si="1">C2+1</f>
        <v>3</v>
      </c>
      <c r="D3" s="2">
        <v>-1</v>
      </c>
      <c r="E3" s="2">
        <v>0.01</v>
      </c>
    </row>
    <row r="4" spans="1:5" x14ac:dyDescent="0.9">
      <c r="A4" s="1">
        <v>0.04</v>
      </c>
      <c r="B4" s="2">
        <f t="shared" si="0"/>
        <v>3</v>
      </c>
      <c r="C4" s="2">
        <f t="shared" si="1"/>
        <v>4</v>
      </c>
      <c r="D4" s="2">
        <v>-0.5</v>
      </c>
      <c r="E4" s="2">
        <v>0.01</v>
      </c>
    </row>
    <row r="5" spans="1:5" x14ac:dyDescent="0.9">
      <c r="A5" s="1">
        <v>0.05</v>
      </c>
      <c r="B5" s="2">
        <f t="shared" si="0"/>
        <v>4</v>
      </c>
      <c r="C5" s="2">
        <f t="shared" si="1"/>
        <v>5</v>
      </c>
      <c r="D5" s="2">
        <v>0</v>
      </c>
      <c r="E5" s="2">
        <v>0.01</v>
      </c>
    </row>
    <row r="6" spans="1:5" x14ac:dyDescent="0.9">
      <c r="A6" s="1">
        <v>0.06</v>
      </c>
      <c r="B6" s="2">
        <f t="shared" si="0"/>
        <v>5</v>
      </c>
      <c r="C6" s="2">
        <f t="shared" si="1"/>
        <v>6</v>
      </c>
      <c r="D6" s="2">
        <v>0.5</v>
      </c>
      <c r="E6" s="2">
        <v>0.01</v>
      </c>
    </row>
    <row r="7" spans="1:5" x14ac:dyDescent="0.9">
      <c r="A7" s="1">
        <v>7.0000000000000007E-2</v>
      </c>
      <c r="B7" s="2">
        <f t="shared" si="0"/>
        <v>6</v>
      </c>
      <c r="C7" s="2">
        <f t="shared" si="1"/>
        <v>7</v>
      </c>
      <c r="D7" s="2">
        <v>1</v>
      </c>
      <c r="E7" s="2">
        <v>0.01</v>
      </c>
    </row>
    <row r="8" spans="1:5" x14ac:dyDescent="0.9">
      <c r="A8" s="1">
        <v>0.08</v>
      </c>
      <c r="B8" s="2">
        <f t="shared" si="0"/>
        <v>7</v>
      </c>
      <c r="C8" s="2">
        <f t="shared" si="1"/>
        <v>8</v>
      </c>
      <c r="D8" s="2">
        <v>1.5</v>
      </c>
      <c r="E8" s="2">
        <v>0.01</v>
      </c>
    </row>
    <row r="9" spans="1:5" x14ac:dyDescent="0.9">
      <c r="A9" s="1">
        <v>0.09</v>
      </c>
      <c r="B9" s="2">
        <f t="shared" si="0"/>
        <v>8</v>
      </c>
      <c r="C9" s="2">
        <f t="shared" si="1"/>
        <v>9</v>
      </c>
      <c r="D9" s="2">
        <v>2</v>
      </c>
      <c r="E9" s="2">
        <v>0.01</v>
      </c>
    </row>
    <row r="10" spans="1:5" x14ac:dyDescent="0.9">
      <c r="A10" s="1">
        <v>0.1</v>
      </c>
      <c r="B10" s="2">
        <f t="shared" si="0"/>
        <v>9</v>
      </c>
      <c r="C10" s="2">
        <f t="shared" si="1"/>
        <v>10</v>
      </c>
    </row>
    <row r="11" spans="1:5" x14ac:dyDescent="0.9">
      <c r="B11" s="2">
        <f t="shared" si="0"/>
        <v>10</v>
      </c>
      <c r="C11" s="2">
        <f t="shared" si="1"/>
        <v>11</v>
      </c>
    </row>
    <row r="12" spans="1:5" x14ac:dyDescent="0.9">
      <c r="B12" s="2">
        <f t="shared" si="0"/>
        <v>11</v>
      </c>
      <c r="C12" s="2">
        <f t="shared" si="1"/>
        <v>12</v>
      </c>
    </row>
    <row r="13" spans="1:5" x14ac:dyDescent="0.9">
      <c r="B13" s="2">
        <f t="shared" si="0"/>
        <v>12</v>
      </c>
      <c r="C13" s="2">
        <f t="shared" si="1"/>
        <v>13</v>
      </c>
    </row>
    <row r="14" spans="1:5" x14ac:dyDescent="0.9">
      <c r="B14" s="2">
        <f t="shared" si="0"/>
        <v>13</v>
      </c>
      <c r="C14" s="2">
        <f t="shared" si="1"/>
        <v>14</v>
      </c>
    </row>
    <row r="15" spans="1:5" x14ac:dyDescent="0.9">
      <c r="B15" s="2">
        <f t="shared" si="0"/>
        <v>14</v>
      </c>
      <c r="C15" s="2">
        <f t="shared" si="1"/>
        <v>15</v>
      </c>
    </row>
    <row r="16" spans="1:5" x14ac:dyDescent="0.9">
      <c r="B16" s="2">
        <f t="shared" si="0"/>
        <v>15</v>
      </c>
      <c r="C16" s="2">
        <f t="shared" si="1"/>
        <v>16</v>
      </c>
    </row>
    <row r="17" spans="3:3" x14ac:dyDescent="0.9">
      <c r="C17" s="2">
        <f t="shared" si="1"/>
        <v>17</v>
      </c>
    </row>
    <row r="18" spans="3:3" x14ac:dyDescent="0.9">
      <c r="C18" s="2">
        <f t="shared" si="1"/>
        <v>18</v>
      </c>
    </row>
    <row r="19" spans="3:3" x14ac:dyDescent="0.9">
      <c r="C19" s="2">
        <f t="shared" si="1"/>
        <v>19</v>
      </c>
    </row>
    <row r="20" spans="3:3" x14ac:dyDescent="0.9">
      <c r="C20" s="2">
        <f t="shared" si="1"/>
        <v>20</v>
      </c>
    </row>
    <row r="21" spans="3:3" x14ac:dyDescent="0.9">
      <c r="C21" s="2">
        <f t="shared" si="1"/>
        <v>21</v>
      </c>
    </row>
    <row r="22" spans="3:3" x14ac:dyDescent="0.9">
      <c r="C22" s="2">
        <f t="shared" si="1"/>
        <v>22</v>
      </c>
    </row>
    <row r="23" spans="3:3" x14ac:dyDescent="0.9">
      <c r="C23" s="2">
        <f t="shared" si="1"/>
        <v>23</v>
      </c>
    </row>
    <row r="24" spans="3:3" x14ac:dyDescent="0.9">
      <c r="C24" s="2">
        <f t="shared" si="1"/>
        <v>24</v>
      </c>
    </row>
    <row r="25" spans="3:3" x14ac:dyDescent="0.9">
      <c r="C25" s="2">
        <f t="shared" si="1"/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 year maturity</vt:lpstr>
      <vt:lpstr>Dynamic maturity</vt:lpstr>
      <vt:lpstr>Validation inputs</vt:lpstr>
    </vt:vector>
  </TitlesOfParts>
  <Company>Fitch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Burnell, Chris</dc:creator>
  <cp:lastModifiedBy>Barnett, Victoria</cp:lastModifiedBy>
  <dcterms:created xsi:type="dcterms:W3CDTF">2025-03-01T21:47:34Z</dcterms:created>
  <dcterms:modified xsi:type="dcterms:W3CDTF">2025-07-14T10:17:09Z</dcterms:modified>
</cp:coreProperties>
</file>